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llsudhoff-guerin/Downloads/VMS Press/VMS/2024/"/>
    </mc:Choice>
  </mc:AlternateContent>
  <xr:revisionPtr revIDLastSave="0" documentId="13_ncr:1_{DD4A2B8D-17A7-CF4F-8659-07E63A7C5BA1}" xr6:coauthVersionLast="47" xr6:coauthVersionMax="47" xr10:uidLastSave="{00000000-0000-0000-0000-000000000000}"/>
  <bookViews>
    <workbookView xWindow="0" yWindow="0" windowWidth="28800" windowHeight="18000" activeTab="1" xr2:uid="{0C2E1687-E96A-49A6-936F-752BA01C7AD2}"/>
  </bookViews>
  <sheets>
    <sheet name="State" sheetId="1" r:id="rId1"/>
    <sheet name="Count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4" l="1"/>
  <c r="C76" i="4"/>
  <c r="C70" i="4"/>
  <c r="C64" i="4"/>
  <c r="C58" i="4"/>
  <c r="C52" i="4"/>
  <c r="C46" i="4"/>
  <c r="C40" i="4"/>
  <c r="C34" i="4"/>
  <c r="C28" i="4"/>
  <c r="C22" i="4"/>
  <c r="C16" i="4"/>
  <c r="C10" i="4"/>
  <c r="C4" i="4"/>
  <c r="K6" i="1"/>
  <c r="L6" i="1" s="1"/>
  <c r="K5" i="1"/>
  <c r="L5" i="1" s="1"/>
  <c r="K4" i="1"/>
  <c r="L4" i="1" s="1"/>
  <c r="K3" i="1"/>
  <c r="L3" i="1" s="1"/>
  <c r="D5" i="4"/>
  <c r="D86" i="4"/>
  <c r="E86" i="4" s="1"/>
  <c r="D85" i="4"/>
  <c r="E85" i="4" s="1"/>
  <c r="D84" i="4"/>
  <c r="E84" i="4" s="1"/>
  <c r="D83" i="4"/>
  <c r="E83" i="4" s="1"/>
  <c r="D80" i="4"/>
  <c r="E80" i="4" s="1"/>
  <c r="D79" i="4"/>
  <c r="E79" i="4" s="1"/>
  <c r="D78" i="4"/>
  <c r="E78" i="4" s="1"/>
  <c r="D77" i="4"/>
  <c r="E77" i="4" s="1"/>
  <c r="D74" i="4"/>
  <c r="E74" i="4" s="1"/>
  <c r="D73" i="4"/>
  <c r="E73" i="4" s="1"/>
  <c r="D72" i="4"/>
  <c r="E72" i="4" s="1"/>
  <c r="D71" i="4"/>
  <c r="E71" i="4" s="1"/>
  <c r="D68" i="4"/>
  <c r="E68" i="4" s="1"/>
  <c r="D67" i="4"/>
  <c r="E67" i="4" s="1"/>
  <c r="D66" i="4"/>
  <c r="E66" i="4" s="1"/>
  <c r="D65" i="4"/>
  <c r="E65" i="4" s="1"/>
  <c r="D62" i="4"/>
  <c r="E62" i="4" s="1"/>
  <c r="D61" i="4"/>
  <c r="E61" i="4" s="1"/>
  <c r="D60" i="4"/>
  <c r="E60" i="4" s="1"/>
  <c r="D59" i="4"/>
  <c r="D56" i="4"/>
  <c r="E56" i="4" s="1"/>
  <c r="D55" i="4"/>
  <c r="E55" i="4" s="1"/>
  <c r="D54" i="4"/>
  <c r="E54" i="4" s="1"/>
  <c r="D53" i="4"/>
  <c r="E53" i="4" s="1"/>
  <c r="D50" i="4"/>
  <c r="E50" i="4" s="1"/>
  <c r="D49" i="4"/>
  <c r="E49" i="4" s="1"/>
  <c r="D48" i="4"/>
  <c r="E48" i="4" s="1"/>
  <c r="D47" i="4"/>
  <c r="E47" i="4" s="1"/>
  <c r="D44" i="4"/>
  <c r="E44" i="4" s="1"/>
  <c r="D43" i="4"/>
  <c r="E43" i="4" s="1"/>
  <c r="D42" i="4"/>
  <c r="E42" i="4" s="1"/>
  <c r="D41" i="4"/>
  <c r="E41" i="4" s="1"/>
  <c r="D38" i="4"/>
  <c r="E38" i="4" s="1"/>
  <c r="D37" i="4"/>
  <c r="E37" i="4" s="1"/>
  <c r="D36" i="4"/>
  <c r="E36" i="4" s="1"/>
  <c r="D35" i="4"/>
  <c r="D32" i="4"/>
  <c r="E32" i="4" s="1"/>
  <c r="D31" i="4"/>
  <c r="E31" i="4" s="1"/>
  <c r="D30" i="4"/>
  <c r="E30" i="4" s="1"/>
  <c r="D29" i="4"/>
  <c r="E29" i="4" s="1"/>
  <c r="D26" i="4"/>
  <c r="E26" i="4" s="1"/>
  <c r="D25" i="4"/>
  <c r="E25" i="4" s="1"/>
  <c r="D24" i="4"/>
  <c r="E24" i="4" s="1"/>
  <c r="D23" i="4"/>
  <c r="D20" i="4"/>
  <c r="E20" i="4" s="1"/>
  <c r="D19" i="4"/>
  <c r="E19" i="4" s="1"/>
  <c r="D18" i="4"/>
  <c r="E18" i="4" s="1"/>
  <c r="D17" i="4"/>
  <c r="E17" i="4" s="1"/>
  <c r="D14" i="4"/>
  <c r="E14" i="4" s="1"/>
  <c r="D13" i="4"/>
  <c r="E13" i="4" s="1"/>
  <c r="D12" i="4"/>
  <c r="E12" i="4" s="1"/>
  <c r="D11" i="4"/>
  <c r="E11" i="4" s="1"/>
  <c r="D8" i="4"/>
  <c r="E8" i="4" s="1"/>
  <c r="D7" i="4"/>
  <c r="E7" i="4" s="1"/>
  <c r="D6" i="4"/>
  <c r="E6" i="4" s="1"/>
  <c r="B2" i="4"/>
  <c r="D7" i="1"/>
  <c r="C7" i="1"/>
  <c r="E7" i="1"/>
  <c r="F7" i="1"/>
  <c r="B7" i="1"/>
  <c r="K7" i="1" l="1"/>
  <c r="L7" i="1" s="1"/>
  <c r="D4" i="4"/>
  <c r="E4" i="4" s="1"/>
  <c r="E5" i="4"/>
  <c r="D16" i="4"/>
  <c r="E16" i="4" s="1"/>
  <c r="D64" i="4"/>
  <c r="E64" i="4" s="1"/>
  <c r="D22" i="4"/>
  <c r="E22" i="4" s="1"/>
  <c r="D34" i="4"/>
  <c r="E34" i="4" s="1"/>
  <c r="D58" i="4"/>
  <c r="E58" i="4" s="1"/>
  <c r="D70" i="4"/>
  <c r="E70" i="4" s="1"/>
  <c r="D82" i="4"/>
  <c r="E82" i="4" s="1"/>
  <c r="E35" i="4"/>
  <c r="E59" i="4"/>
  <c r="D46" i="4"/>
  <c r="E46" i="4" s="1"/>
  <c r="E23" i="4"/>
  <c r="D52" i="4"/>
  <c r="E52" i="4" s="1"/>
  <c r="D10" i="4"/>
  <c r="D28" i="4"/>
  <c r="E28" i="4" s="1"/>
  <c r="D76" i="4"/>
  <c r="E76" i="4" s="1"/>
  <c r="D40" i="4"/>
  <c r="E40" i="4" s="1"/>
  <c r="E10" i="4" l="1"/>
</calcChain>
</file>

<file path=xl/sharedStrings.xml><?xml version="1.0" encoding="utf-8"?>
<sst xmlns="http://schemas.openxmlformats.org/spreadsheetml/2006/main" count="107" uniqueCount="51">
  <si>
    <t>TOTAL STATEWIDE</t>
  </si>
  <si>
    <t>Primary Care Specialty</t>
  </si>
  <si>
    <t>Family Medicine</t>
  </si>
  <si>
    <t>Internal Medicine/Adult PC</t>
  </si>
  <si>
    <t>Obstetrics-Gynecology</t>
  </si>
  <si>
    <t>Pediatrics</t>
  </si>
  <si>
    <t>2022
Benchmark</t>
  </si>
  <si>
    <t>2022 Supply to Benchmark FTEs based on GMNEAC*</t>
  </si>
  <si>
    <t>Population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</si>
  <si>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</si>
  <si>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</si>
  <si>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</si>
  <si>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</si>
  <si>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</si>
  <si>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</si>
  <si>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</si>
  <si>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</si>
  <si>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</si>
  <si>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Rutland</t>
  </si>
  <si>
    <t>Washington</t>
  </si>
  <si>
    <t>Windham</t>
  </si>
  <si>
    <t>Windsor</t>
  </si>
  <si>
    <t>County</t>
  </si>
  <si>
    <t>Addison</t>
  </si>
  <si>
    <t>FTE</t>
  </si>
  <si>
    <t>*Based on VDH 2022 Licensing Data</t>
  </si>
  <si>
    <t>No. MDs
(2016)</t>
  </si>
  <si>
    <t>No. MDs
(2018)</t>
  </si>
  <si>
    <t>No. MDs
(2022)</t>
  </si>
  <si>
    <t>No. MDs in FTEs
(2016)</t>
  </si>
  <si>
    <t>MDs in FTEs
(2018)</t>
  </si>
  <si>
    <t>MDs in FTEs
(2022)</t>
  </si>
  <si>
    <t># Based on Graduate Medical National Advisory Committee (GMNEAC)
benchmark</t>
  </si>
  <si>
    <t>2016 Supply to Benchmark#</t>
  </si>
  <si>
    <t>2018 Supply to Benchmark#</t>
  </si>
  <si>
    <t>2022
Benchmark#</t>
  </si>
  <si>
    <t>2022 Supply to Benchmark FTEs#</t>
  </si>
  <si>
    <t>*</t>
  </si>
  <si>
    <t>Methodology Adapted from AHEC Primary Care Snaphsot to compare benchmarks from year to year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</si>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</sst>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156082"/>
      <name val="Aptos Narrow"/>
      <family val="2"/>
      <scheme val="minor"/>
    </font>
    <font>
      <sz val="12"/>
      <color rgb="FF156082"/>
      <name val="Aptos Narrow"/>
      <family val="2"/>
      <scheme val="minor"/>
    </font>
    <font>
      <u/>
      <sz val="12"/>
      <color rgb="FF15608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0" fontId="2" fillId="0" borderId="0" xfId="1"/>
    <xf numFmtId="0" fontId="0" fillId="2" borderId="0" xfId="0" applyFill="1"/>
    <xf numFmtId="0" fontId="0" fillId="0" borderId="0" xfId="0" applyAlignment="1">
      <alignment wrapText="1"/>
    </xf>
    <xf numFmtId="2" fontId="1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2" fontId="4" fillId="0" borderId="0" xfId="0" applyNumberFormat="1" applyFont="1"/>
    <xf numFmtId="2" fontId="3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0" xfId="1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56082"/>
        <name val="Aptos Narrow"/>
        <family val="2"/>
        <scheme val="minor"/>
      </font>
      <numFmt numFmtId="2" formatCode="0.00"/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  <numFmt numFmtId="2" formatCode="0.00"/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strike val="0"/>
        <outline val="0"/>
        <shadow val="0"/>
        <vertAlign val="baseline"/>
        <sz val="12"/>
        <color rgb="FF156082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BE11D4-2887-2F4C-98D5-C45390B1B3FD}" name="Table1" displayName="Table1" ref="A1:L8" totalsRowShown="0" headerRowDxfId="13" dataDxfId="0">
  <autoFilter ref="A1:L8" xr:uid="{FDBE11D4-2887-2F4C-98D5-C45390B1B3FD}"/>
  <tableColumns count="12">
    <tableColumn id="1" xr3:uid="{388EEA2D-C2FD-4E45-908C-D8ECBA3046D6}" name="Column1" dataDxfId="12"/>
    <tableColumn id="2" xr3:uid="{D00AC853-F55B-8341-9F29-1654414AB5CB}" name="Column2" dataDxfId="11"/>
    <tableColumn id="3" xr3:uid="{DA1A1117-2046-FA47-A6BD-804EF075C206}" name="Column3" dataDxfId="10"/>
    <tableColumn id="4" xr3:uid="{34010017-A348-5243-BEAB-C23FEA1DB76A}" name="Column4" dataDxfId="9"/>
    <tableColumn id="5" xr3:uid="{ECFEC960-A34A-994D-B738-85E2EBD6F1CF}" name="Column5" dataDxfId="8"/>
    <tableColumn id="6" xr3:uid="{CA6157AC-4F55-244B-B74D-84792CDCC793}" name="Column6" dataDxfId="7"/>
    <tableColumn id="7" xr3:uid="{D4B150A0-FD5E-F845-A737-8C0B134F8833}" name="Column7" dataDxfId="6"/>
    <tableColumn id="8" xr3:uid="{4DB561D9-E1A9-484F-821B-C77C7930864A}" name="Column8" dataDxfId="5"/>
    <tableColumn id="9" xr3:uid="{9CB5D061-FFC2-E74B-BECC-A1CCA0ACC3F8}" name="Column9" dataDxfId="4"/>
    <tableColumn id="10" xr3:uid="{22CC47D3-1F63-2E42-9EE0-782613C98FF5}" name="Column10" dataDxfId="3"/>
    <tableColumn id="11" xr3:uid="{8042B545-F7CC-CF46-A6DE-950492A7F007}" name="Column11" dataDxfId="2"/>
    <tableColumn id="12" xr3:uid="{8B5D7646-7F3B-B541-A0B6-36E566C5D5F2}" name="Column1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healthvermont.gov/sites/default/files/document/HSI-stats-prov-phys22-detail.PDF" TargetMode="External"/><Relationship Id="rId1" Type="http://schemas.openxmlformats.org/officeDocument/2006/relationships/hyperlink" Target="https://contentmanager.med.uvm.edu/docs/vermont_primary_care_practitioner_workforce_2018_snapshot_f3_19/ahec-documents/vermont_primary_care_practitioner_workforce_2018_snapshot_f3_19.pdf?sfvrsn=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E792-9A2D-468D-B09F-4E16F0956959}">
  <dimension ref="A1:O14"/>
  <sheetViews>
    <sheetView zoomScale="110" zoomScaleNormal="110" workbookViewId="0">
      <selection activeCell="I11" sqref="I11"/>
    </sheetView>
  </sheetViews>
  <sheetFormatPr baseColWidth="10" defaultColWidth="8.83203125" defaultRowHeight="15" x14ac:dyDescent="0.2"/>
  <cols>
    <col min="1" max="1" width="24.6640625" bestFit="1" customWidth="1"/>
    <col min="2" max="4" width="10" customWidth="1"/>
    <col min="5" max="5" width="13.5" customWidth="1"/>
    <col min="6" max="6" width="12.33203125" customWidth="1"/>
    <col min="7" max="7" width="14.83203125" customWidth="1"/>
    <col min="8" max="8" width="9.83203125" customWidth="1"/>
    <col min="9" max="9" width="14.6640625" customWidth="1"/>
    <col min="10" max="10" width="13.33203125" customWidth="1"/>
    <col min="11" max="11" width="11.33203125" customWidth="1"/>
    <col min="12" max="12" width="13" customWidth="1"/>
    <col min="13" max="13" width="17.6640625" customWidth="1"/>
    <col min="14" max="14" width="12.33203125" customWidth="1"/>
  </cols>
  <sheetData>
    <row r="1" spans="1:15" ht="16" x14ac:dyDescent="0.2">
      <c r="A1" s="1" t="s">
        <v>39</v>
      </c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t="s">
        <v>46</v>
      </c>
      <c r="I1" s="2" t="s">
        <v>47</v>
      </c>
      <c r="J1" s="2" t="s">
        <v>48</v>
      </c>
      <c r="K1" s="2" t="s">
        <v>49</v>
      </c>
      <c r="L1" s="2" t="s">
        <v>50</v>
      </c>
      <c r="O1" s="1"/>
    </row>
    <row r="2" spans="1:15" ht="51" x14ac:dyDescent="0.2">
      <c r="A2" s="11" t="s">
        <v>1</v>
      </c>
      <c r="B2" s="12" t="s">
        <v>26</v>
      </c>
      <c r="C2" s="12" t="s">
        <v>27</v>
      </c>
      <c r="D2" s="12" t="s">
        <v>28</v>
      </c>
      <c r="E2" s="12" t="s">
        <v>29</v>
      </c>
      <c r="F2" s="12" t="s">
        <v>30</v>
      </c>
      <c r="G2" s="12" t="s">
        <v>31</v>
      </c>
      <c r="H2" s="13"/>
      <c r="I2" s="12" t="s">
        <v>33</v>
      </c>
      <c r="J2" s="12" t="s">
        <v>34</v>
      </c>
      <c r="K2" s="12" t="s">
        <v>35</v>
      </c>
      <c r="L2" s="12" t="s">
        <v>36</v>
      </c>
    </row>
    <row r="3" spans="1:15" ht="16" x14ac:dyDescent="0.2">
      <c r="A3" s="13" t="s">
        <v>2</v>
      </c>
      <c r="B3" s="13">
        <v>228</v>
      </c>
      <c r="C3" s="13">
        <v>231</v>
      </c>
      <c r="D3" s="13">
        <v>275</v>
      </c>
      <c r="E3" s="13">
        <v>198.37</v>
      </c>
      <c r="F3" s="13">
        <v>197.89</v>
      </c>
      <c r="G3" s="13">
        <v>198.2</v>
      </c>
      <c r="H3" s="13"/>
      <c r="I3" s="13">
        <v>-5.09</v>
      </c>
      <c r="J3" s="13">
        <v>-4.79</v>
      </c>
      <c r="K3" s="14">
        <f>(647064/100000)*32.5</f>
        <v>210.29580000000001</v>
      </c>
      <c r="L3" s="15">
        <f>G3-K3</f>
        <v>-12.095800000000025</v>
      </c>
      <c r="N3" s="3"/>
    </row>
    <row r="4" spans="1:15" ht="16" x14ac:dyDescent="0.2">
      <c r="A4" s="13" t="s">
        <v>3</v>
      </c>
      <c r="B4" s="13">
        <v>121</v>
      </c>
      <c r="C4" s="13">
        <v>97</v>
      </c>
      <c r="D4" s="13">
        <v>131</v>
      </c>
      <c r="E4" s="13">
        <v>111.74</v>
      </c>
      <c r="F4" s="13">
        <v>85.63</v>
      </c>
      <c r="G4" s="13">
        <v>83.9</v>
      </c>
      <c r="H4" s="13"/>
      <c r="I4" s="13">
        <v>-64.180000000000007</v>
      </c>
      <c r="J4" s="13">
        <v>-89.62</v>
      </c>
      <c r="K4" s="14">
        <f>(647064/100000)*28.1</f>
        <v>181.82498400000003</v>
      </c>
      <c r="L4" s="15">
        <f>G4-K4</f>
        <v>-97.924984000000023</v>
      </c>
    </row>
    <row r="5" spans="1:15" ht="16" x14ac:dyDescent="0.2">
      <c r="A5" s="13" t="s">
        <v>4</v>
      </c>
      <c r="B5" s="13">
        <v>64</v>
      </c>
      <c r="C5" s="13">
        <v>63</v>
      </c>
      <c r="D5" s="13">
        <v>64</v>
      </c>
      <c r="E5" s="13">
        <v>60.46</v>
      </c>
      <c r="F5" s="13">
        <v>58.53</v>
      </c>
      <c r="G5" s="13">
        <v>49.3</v>
      </c>
      <c r="H5" s="13"/>
      <c r="I5" s="13">
        <v>2.87</v>
      </c>
      <c r="J5" s="13">
        <v>1.1599999999999999</v>
      </c>
      <c r="K5" s="14">
        <f>(647064/100000)*9.2</f>
        <v>59.529888</v>
      </c>
      <c r="L5" s="15">
        <f>G5-K5</f>
        <v>-10.229888000000003</v>
      </c>
      <c r="M5" s="3"/>
    </row>
    <row r="6" spans="1:15" ht="16" x14ac:dyDescent="0.2">
      <c r="A6" s="13" t="s">
        <v>5</v>
      </c>
      <c r="B6" s="13">
        <v>107</v>
      </c>
      <c r="C6" s="13">
        <v>109</v>
      </c>
      <c r="D6" s="13">
        <v>99</v>
      </c>
      <c r="E6" s="13">
        <v>87.62</v>
      </c>
      <c r="F6" s="13">
        <v>89.5</v>
      </c>
      <c r="G6" s="13">
        <v>73.900000000000006</v>
      </c>
      <c r="H6" s="13"/>
      <c r="I6" s="13">
        <v>20.63</v>
      </c>
      <c r="J6" s="13">
        <v>22.75</v>
      </c>
      <c r="K6" s="14">
        <f>(647064/100000)*10.7</f>
        <v>69.235848000000004</v>
      </c>
      <c r="L6" s="15">
        <f>G6-K6</f>
        <v>4.6641520000000014</v>
      </c>
    </row>
    <row r="7" spans="1:15" ht="16" x14ac:dyDescent="0.2">
      <c r="A7" s="11" t="s">
        <v>0</v>
      </c>
      <c r="B7" s="13">
        <f>SUM(B3:B6)</f>
        <v>520</v>
      </c>
      <c r="C7" s="13">
        <f t="shared" ref="C7:F7" si="0">SUM(C3:C6)</f>
        <v>500</v>
      </c>
      <c r="D7" s="13">
        <f t="shared" si="0"/>
        <v>569</v>
      </c>
      <c r="E7" s="13">
        <f t="shared" si="0"/>
        <v>458.19</v>
      </c>
      <c r="F7" s="13">
        <f t="shared" si="0"/>
        <v>431.54999999999995</v>
      </c>
      <c r="G7" s="16">
        <v>406.3</v>
      </c>
      <c r="H7" s="13" t="s">
        <v>37</v>
      </c>
      <c r="I7" s="13">
        <v>-45.77</v>
      </c>
      <c r="J7" s="13">
        <v>-70.5</v>
      </c>
      <c r="K7" s="14">
        <f>SUM(K3:K6)</f>
        <v>520.88652000000013</v>
      </c>
      <c r="L7" s="15">
        <f>SUM(G7-K7)</f>
        <v>-114.58652000000012</v>
      </c>
    </row>
    <row r="8" spans="1:15" s="8" customFormat="1" ht="136" x14ac:dyDescent="0.2">
      <c r="A8" s="17" t="s">
        <v>25</v>
      </c>
      <c r="B8" s="17"/>
      <c r="C8" s="17"/>
      <c r="D8" s="17"/>
      <c r="E8" s="17"/>
      <c r="F8" s="17"/>
      <c r="G8" s="17"/>
      <c r="H8" s="13"/>
      <c r="I8" s="18" t="s">
        <v>32</v>
      </c>
      <c r="J8" s="18"/>
      <c r="K8" s="18"/>
      <c r="L8" s="18"/>
    </row>
    <row r="9" spans="1:15" x14ac:dyDescent="0.2">
      <c r="A9" s="7" t="s">
        <v>38</v>
      </c>
    </row>
    <row r="14" spans="1:15" x14ac:dyDescent="0.2">
      <c r="G14" s="3"/>
    </row>
  </sheetData>
  <hyperlinks>
    <hyperlink ref="A9" r:id="rId1" xr:uid="{CEB104D5-D968-472C-8713-75C6DF9975CF}"/>
    <hyperlink ref="A8:G8" r:id="rId2" display="*Baed on VDH 2022 Licensing Data" xr:uid="{FD166315-549B-4EB1-9954-9042D1A4C303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81FF-03CE-4A1F-AEE4-8F9F0DF71362}">
  <dimension ref="A1:H86"/>
  <sheetViews>
    <sheetView tabSelected="1" zoomScale="145" zoomScaleNormal="145" workbookViewId="0">
      <selection activeCell="E2" sqref="E2"/>
    </sheetView>
  </sheetViews>
  <sheetFormatPr baseColWidth="10" defaultColWidth="8.83203125" defaultRowHeight="15" x14ac:dyDescent="0.2"/>
  <cols>
    <col min="1" max="1" width="24.6640625" bestFit="1" customWidth="1"/>
    <col min="2" max="2" width="10.6640625" bestFit="1" customWidth="1"/>
    <col min="4" max="4" width="13.1640625" customWidth="1"/>
    <col min="5" max="5" width="30.83203125" style="3" customWidth="1"/>
    <col min="6" max="6" width="10.5" customWidth="1"/>
  </cols>
  <sheetData>
    <row r="1" spans="1:8" ht="32" x14ac:dyDescent="0.2">
      <c r="A1" s="1" t="s">
        <v>22</v>
      </c>
      <c r="B1" s="1" t="s">
        <v>8</v>
      </c>
      <c r="C1" s="1" t="s">
        <v>24</v>
      </c>
      <c r="D1" s="2" t="s">
        <v>6</v>
      </c>
      <c r="E1" s="10" t="s">
        <v>7</v>
      </c>
    </row>
    <row r="2" spans="1:8" x14ac:dyDescent="0.2">
      <c r="B2" s="5">
        <f>SUM(B4,B10,B16,B22,B28,B34,B40,B46,B52,B58,B64,B70,B76,B82)</f>
        <v>647064</v>
      </c>
      <c r="C2" s="1">
        <v>406.9</v>
      </c>
      <c r="D2" s="1">
        <v>520.88699999999994</v>
      </c>
      <c r="E2" s="6">
        <v>-113.99</v>
      </c>
      <c r="F2" s="9"/>
    </row>
    <row r="3" spans="1:8" x14ac:dyDescent="0.2">
      <c r="B3" s="5"/>
      <c r="F3" s="9"/>
    </row>
    <row r="4" spans="1:8" x14ac:dyDescent="0.2">
      <c r="A4" s="1" t="s">
        <v>23</v>
      </c>
      <c r="B4" s="5">
        <v>37578</v>
      </c>
      <c r="C4" s="3">
        <f>SUM(C5:C8)</f>
        <v>26.7</v>
      </c>
      <c r="D4" s="3">
        <f>SUM(D5:D8)</f>
        <v>30.25029</v>
      </c>
      <c r="E4" s="6">
        <f>SUM(C4-D4)</f>
        <v>-3.5502900000000004</v>
      </c>
      <c r="F4" s="3"/>
    </row>
    <row r="5" spans="1:8" x14ac:dyDescent="0.2">
      <c r="A5" t="s">
        <v>2</v>
      </c>
      <c r="B5" s="4"/>
      <c r="C5" s="3">
        <v>16.399999999999999</v>
      </c>
      <c r="D5" s="3">
        <f>($B$4/100000)*32.5</f>
        <v>12.21285</v>
      </c>
      <c r="E5" s="3">
        <f>C5-D5</f>
        <v>4.187149999999999</v>
      </c>
    </row>
    <row r="6" spans="1:8" x14ac:dyDescent="0.2">
      <c r="A6" t="s">
        <v>3</v>
      </c>
      <c r="B6" s="4"/>
      <c r="C6" s="3">
        <v>2.8</v>
      </c>
      <c r="D6" s="3">
        <f>($B$4/100000)*28.1</f>
        <v>10.559418000000001</v>
      </c>
      <c r="E6" s="3">
        <f t="shared" ref="E6:E80" si="0">C6-D6</f>
        <v>-7.759418000000001</v>
      </c>
    </row>
    <row r="7" spans="1:8" x14ac:dyDescent="0.2">
      <c r="A7" t="s">
        <v>4</v>
      </c>
      <c r="B7" s="4"/>
      <c r="C7" s="3">
        <v>3.5</v>
      </c>
      <c r="D7" s="3">
        <f>($B$4/100000)*9.2</f>
        <v>3.4571759999999996</v>
      </c>
      <c r="E7" s="3">
        <f t="shared" si="0"/>
        <v>4.2824000000000417E-2</v>
      </c>
    </row>
    <row r="8" spans="1:8" x14ac:dyDescent="0.2">
      <c r="A8" t="s">
        <v>5</v>
      </c>
      <c r="B8" s="4"/>
      <c r="C8" s="3">
        <v>4</v>
      </c>
      <c r="D8" s="3">
        <f>($B$4/100000)*10.7</f>
        <v>4.0208459999999997</v>
      </c>
      <c r="E8" s="3">
        <f t="shared" si="0"/>
        <v>-2.0845999999999698E-2</v>
      </c>
    </row>
    <row r="9" spans="1:8" x14ac:dyDescent="0.2">
      <c r="B9" s="4"/>
      <c r="C9" s="3"/>
      <c r="D9" s="3"/>
    </row>
    <row r="10" spans="1:8" x14ac:dyDescent="0.2">
      <c r="A10" s="1" t="s">
        <v>9</v>
      </c>
      <c r="B10" s="5">
        <v>37392</v>
      </c>
      <c r="C10" s="3">
        <f>SUM(C11:C14)</f>
        <v>30.400000000000002</v>
      </c>
      <c r="D10" s="3">
        <f>SUM(D11:D14)</f>
        <v>30.100559999999998</v>
      </c>
      <c r="E10" s="6">
        <f>SUM(C10-D10)</f>
        <v>0.29944000000000415</v>
      </c>
      <c r="H10" s="3"/>
    </row>
    <row r="11" spans="1:8" x14ac:dyDescent="0.2">
      <c r="A11" t="s">
        <v>2</v>
      </c>
      <c r="B11" s="4"/>
      <c r="C11" s="3">
        <v>15.4</v>
      </c>
      <c r="D11" s="3">
        <f>($B$10/100000)*32.5</f>
        <v>12.152399999999998</v>
      </c>
      <c r="E11" s="3">
        <f t="shared" si="0"/>
        <v>3.247600000000002</v>
      </c>
      <c r="H11" s="3"/>
    </row>
    <row r="12" spans="1:8" x14ac:dyDescent="0.2">
      <c r="A12" t="s">
        <v>3</v>
      </c>
      <c r="B12" s="4"/>
      <c r="C12" s="3">
        <v>4.2</v>
      </c>
      <c r="D12" s="3">
        <f>($B$10/100000)*28.1</f>
        <v>10.507152</v>
      </c>
      <c r="E12" s="3">
        <f t="shared" si="0"/>
        <v>-6.3071519999999994</v>
      </c>
    </row>
    <row r="13" spans="1:8" x14ac:dyDescent="0.2">
      <c r="A13" t="s">
        <v>4</v>
      </c>
      <c r="B13" s="4"/>
      <c r="C13" s="3">
        <v>5</v>
      </c>
      <c r="D13" s="3">
        <f>($B$10/100000)*9.2</f>
        <v>3.4400639999999996</v>
      </c>
      <c r="E13" s="3">
        <f t="shared" si="0"/>
        <v>1.5599360000000004</v>
      </c>
    </row>
    <row r="14" spans="1:8" x14ac:dyDescent="0.2">
      <c r="A14" t="s">
        <v>5</v>
      </c>
      <c r="B14" s="4"/>
      <c r="C14" s="3">
        <v>5.8</v>
      </c>
      <c r="D14" s="3">
        <f>($B$10/100000)*10.7</f>
        <v>4.0009439999999996</v>
      </c>
      <c r="E14" s="3">
        <f t="shared" si="0"/>
        <v>1.7990560000000002</v>
      </c>
    </row>
    <row r="15" spans="1:8" x14ac:dyDescent="0.2">
      <c r="B15" s="4"/>
      <c r="C15" s="3"/>
      <c r="D15" s="3"/>
    </row>
    <row r="16" spans="1:8" x14ac:dyDescent="0.2">
      <c r="A16" s="1" t="s">
        <v>10</v>
      </c>
      <c r="B16" s="5">
        <v>30579</v>
      </c>
      <c r="C16" s="3">
        <f>SUM(C17:C20)</f>
        <v>19.8</v>
      </c>
      <c r="D16" s="3">
        <f>SUM(D17:D20)</f>
        <v>24.616095000000005</v>
      </c>
      <c r="E16" s="6">
        <f>SUM(C16-D16)</f>
        <v>-4.8160950000000042</v>
      </c>
    </row>
    <row r="17" spans="1:5" x14ac:dyDescent="0.2">
      <c r="A17" t="s">
        <v>2</v>
      </c>
      <c r="B17" s="4"/>
      <c r="C17" s="3">
        <v>10.7</v>
      </c>
      <c r="D17" s="3">
        <f>($B$16/100000)*32.5</f>
        <v>9.9381750000000011</v>
      </c>
      <c r="E17" s="3">
        <f t="shared" si="0"/>
        <v>0.7618249999999982</v>
      </c>
    </row>
    <row r="18" spans="1:5" x14ac:dyDescent="0.2">
      <c r="A18" t="s">
        <v>3</v>
      </c>
      <c r="B18" s="4"/>
      <c r="C18" s="3">
        <v>2.2999999999999998</v>
      </c>
      <c r="D18" s="3">
        <f>($B$16/100000)*28.1</f>
        <v>8.5926990000000014</v>
      </c>
      <c r="E18" s="3">
        <f t="shared" si="0"/>
        <v>-6.2926990000000016</v>
      </c>
    </row>
    <row r="19" spans="1:5" x14ac:dyDescent="0.2">
      <c r="A19" t="s">
        <v>4</v>
      </c>
      <c r="B19" s="4"/>
      <c r="C19" s="3">
        <v>2.9</v>
      </c>
      <c r="D19" s="3">
        <f>($B$16/100000)*9.2</f>
        <v>2.8132679999999999</v>
      </c>
      <c r="E19" s="3">
        <f t="shared" si="0"/>
        <v>8.6732000000000031E-2</v>
      </c>
    </row>
    <row r="20" spans="1:5" x14ac:dyDescent="0.2">
      <c r="A20" t="s">
        <v>5</v>
      </c>
      <c r="B20" s="4"/>
      <c r="C20" s="3">
        <v>3.9</v>
      </c>
      <c r="D20" s="3">
        <f>($B$16/100000)*10.7</f>
        <v>3.2719529999999999</v>
      </c>
      <c r="E20" s="3">
        <f t="shared" si="0"/>
        <v>0.62804700000000002</v>
      </c>
    </row>
    <row r="21" spans="1:5" x14ac:dyDescent="0.2">
      <c r="B21" s="4"/>
      <c r="C21" s="3"/>
      <c r="D21" s="3"/>
    </row>
    <row r="22" spans="1:5" x14ac:dyDescent="0.2">
      <c r="A22" s="1" t="s">
        <v>11</v>
      </c>
      <c r="B22" s="5">
        <v>169301</v>
      </c>
      <c r="C22" s="3">
        <f>SUM(C23:C26)</f>
        <v>142.1</v>
      </c>
      <c r="D22" s="3">
        <f>SUM(D23:D26)</f>
        <v>136.287305</v>
      </c>
      <c r="E22" s="6">
        <f>SUM(C22-D22)</f>
        <v>5.8126949999999908</v>
      </c>
    </row>
    <row r="23" spans="1:5" x14ac:dyDescent="0.2">
      <c r="A23" t="s">
        <v>2</v>
      </c>
      <c r="B23" s="4"/>
      <c r="C23" s="3">
        <v>57.9</v>
      </c>
      <c r="D23" s="3">
        <f>($B$22/100000)*32.5</f>
        <v>55.022824999999997</v>
      </c>
      <c r="E23" s="3">
        <f t="shared" si="0"/>
        <v>2.8771750000000011</v>
      </c>
    </row>
    <row r="24" spans="1:5" x14ac:dyDescent="0.2">
      <c r="A24" t="s">
        <v>3</v>
      </c>
      <c r="B24" s="4"/>
      <c r="C24" s="3">
        <v>37.299999999999997</v>
      </c>
      <c r="D24" s="3">
        <f>($B$22/100000)*28.1</f>
        <v>47.573580999999997</v>
      </c>
      <c r="E24" s="3">
        <f t="shared" si="0"/>
        <v>-10.273581</v>
      </c>
    </row>
    <row r="25" spans="1:5" x14ac:dyDescent="0.2">
      <c r="A25" t="s">
        <v>4</v>
      </c>
      <c r="B25" s="4"/>
      <c r="C25" s="3">
        <v>18.100000000000001</v>
      </c>
      <c r="D25" s="3">
        <f>($B$22/100000)*9.2</f>
        <v>15.575691999999998</v>
      </c>
      <c r="E25" s="3">
        <f t="shared" si="0"/>
        <v>2.5243080000000031</v>
      </c>
    </row>
    <row r="26" spans="1:5" x14ac:dyDescent="0.2">
      <c r="A26" t="s">
        <v>5</v>
      </c>
      <c r="B26" s="4"/>
      <c r="C26" s="3">
        <v>28.8</v>
      </c>
      <c r="D26" s="3">
        <f>($B$22/100000)*10.7</f>
        <v>18.115206999999998</v>
      </c>
      <c r="E26" s="3">
        <f t="shared" si="0"/>
        <v>10.684793000000003</v>
      </c>
    </row>
    <row r="27" spans="1:5" x14ac:dyDescent="0.2">
      <c r="B27" s="4"/>
      <c r="C27" s="3"/>
      <c r="D27" s="3"/>
    </row>
    <row r="28" spans="1:5" x14ac:dyDescent="0.2">
      <c r="A28" s="1" t="s">
        <v>12</v>
      </c>
      <c r="B28" s="5">
        <v>5994</v>
      </c>
      <c r="C28" s="3">
        <f>SUM(C29:C32)</f>
        <v>1.5</v>
      </c>
      <c r="D28" s="3">
        <f>SUM(D29:D32)</f>
        <v>4.82517</v>
      </c>
      <c r="E28" s="6">
        <f>SUM(C28-D28)</f>
        <v>-3.32517</v>
      </c>
    </row>
    <row r="29" spans="1:5" x14ac:dyDescent="0.2">
      <c r="A29" t="s">
        <v>2</v>
      </c>
      <c r="B29" s="4"/>
      <c r="C29" s="3">
        <v>0.8</v>
      </c>
      <c r="D29" s="3">
        <f>($B$28/100000)*32.5</f>
        <v>1.9480500000000001</v>
      </c>
      <c r="E29" s="3">
        <f t="shared" si="0"/>
        <v>-1.14805</v>
      </c>
    </row>
    <row r="30" spans="1:5" x14ac:dyDescent="0.2">
      <c r="A30" t="s">
        <v>3</v>
      </c>
      <c r="B30" s="4"/>
      <c r="C30" s="3">
        <v>0.5</v>
      </c>
      <c r="D30" s="3">
        <f>($B$28/100000)*28.1</f>
        <v>1.6843140000000001</v>
      </c>
      <c r="E30" s="3">
        <f t="shared" si="0"/>
        <v>-1.1843140000000001</v>
      </c>
    </row>
    <row r="31" spans="1:5" x14ac:dyDescent="0.2">
      <c r="A31" t="s">
        <v>4</v>
      </c>
      <c r="B31" s="4"/>
      <c r="C31" s="3">
        <v>0</v>
      </c>
      <c r="D31" s="3">
        <f>($B$28/100000)*9.2</f>
        <v>0.55144799999999994</v>
      </c>
      <c r="E31" s="3">
        <f t="shared" si="0"/>
        <v>-0.55144799999999994</v>
      </c>
    </row>
    <row r="32" spans="1:5" x14ac:dyDescent="0.2">
      <c r="A32" t="s">
        <v>5</v>
      </c>
      <c r="B32" s="4"/>
      <c r="C32" s="3">
        <v>0.2</v>
      </c>
      <c r="D32" s="3">
        <f>($B$28/100000)*10.7</f>
        <v>0.64135799999999998</v>
      </c>
      <c r="E32" s="3">
        <f t="shared" si="0"/>
        <v>-0.44135799999999997</v>
      </c>
    </row>
    <row r="33" spans="1:5" x14ac:dyDescent="0.2">
      <c r="B33" s="4"/>
      <c r="C33" s="3"/>
      <c r="D33" s="3"/>
    </row>
    <row r="34" spans="1:5" x14ac:dyDescent="0.2">
      <c r="A34" s="1" t="s">
        <v>13</v>
      </c>
      <c r="B34" s="5">
        <v>50731</v>
      </c>
      <c r="C34" s="3">
        <f>SUM(C35:C38)</f>
        <v>20</v>
      </c>
      <c r="D34" s="3">
        <f>SUM(D35:D38)</f>
        <v>40.838454999999996</v>
      </c>
      <c r="E34" s="6">
        <f>SUM(C34-D34)</f>
        <v>-20.838454999999996</v>
      </c>
    </row>
    <row r="35" spans="1:5" x14ac:dyDescent="0.2">
      <c r="A35" t="s">
        <v>2</v>
      </c>
      <c r="B35" s="4"/>
      <c r="C35" s="3">
        <v>10.199999999999999</v>
      </c>
      <c r="D35" s="3">
        <f>($B$34/100000)*32.5</f>
        <v>16.487575</v>
      </c>
      <c r="E35" s="3">
        <f t="shared" si="0"/>
        <v>-6.2875750000000004</v>
      </c>
    </row>
    <row r="36" spans="1:5" x14ac:dyDescent="0.2">
      <c r="A36" t="s">
        <v>3</v>
      </c>
      <c r="B36" s="4"/>
      <c r="C36" s="3">
        <v>1</v>
      </c>
      <c r="D36" s="3">
        <f>($B$34/100000)*28.1</f>
        <v>14.255411000000002</v>
      </c>
      <c r="E36" s="3">
        <f t="shared" si="0"/>
        <v>-13.255411000000002</v>
      </c>
    </row>
    <row r="37" spans="1:5" x14ac:dyDescent="0.2">
      <c r="A37" t="s">
        <v>4</v>
      </c>
      <c r="B37" s="4"/>
      <c r="C37" s="3">
        <v>2.7</v>
      </c>
      <c r="D37" s="3">
        <f>($B$34/100000)*9.2</f>
        <v>4.6672520000000004</v>
      </c>
      <c r="E37" s="3">
        <f t="shared" si="0"/>
        <v>-1.9672520000000002</v>
      </c>
    </row>
    <row r="38" spans="1:5" x14ac:dyDescent="0.2">
      <c r="A38" t="s">
        <v>5</v>
      </c>
      <c r="B38" s="4"/>
      <c r="C38" s="3">
        <v>6.1</v>
      </c>
      <c r="D38" s="3">
        <f>($B$34/100000)*10.7</f>
        <v>5.4282170000000001</v>
      </c>
      <c r="E38" s="3">
        <f t="shared" si="0"/>
        <v>0.67178299999999957</v>
      </c>
    </row>
    <row r="39" spans="1:5" x14ac:dyDescent="0.2">
      <c r="B39" s="4"/>
      <c r="C39" s="3"/>
      <c r="D39" s="3"/>
    </row>
    <row r="40" spans="1:5" x14ac:dyDescent="0.2">
      <c r="A40" s="1" t="s">
        <v>14</v>
      </c>
      <c r="B40" s="5">
        <v>7489</v>
      </c>
      <c r="C40" s="3">
        <f>SUM(C41:C44)</f>
        <v>1.1000000000000001</v>
      </c>
      <c r="D40" s="3">
        <f>SUM(D41:D44)</f>
        <v>6.028645</v>
      </c>
      <c r="E40" s="6">
        <f>SUM(C40-D40)</f>
        <v>-4.9286449999999995</v>
      </c>
    </row>
    <row r="41" spans="1:5" x14ac:dyDescent="0.2">
      <c r="A41" t="s">
        <v>2</v>
      </c>
      <c r="B41" s="4"/>
      <c r="C41" s="3">
        <v>0.8</v>
      </c>
      <c r="D41" s="3">
        <f>($B$40/100000)*32.5</f>
        <v>2.4339249999999999</v>
      </c>
      <c r="E41" s="3">
        <f t="shared" si="0"/>
        <v>-1.6339249999999998</v>
      </c>
    </row>
    <row r="42" spans="1:5" x14ac:dyDescent="0.2">
      <c r="A42" t="s">
        <v>3</v>
      </c>
      <c r="B42" s="4"/>
      <c r="C42" s="3">
        <v>0.3</v>
      </c>
      <c r="D42" s="3">
        <f>($B$40/100000)*28.1</f>
        <v>2.104409</v>
      </c>
      <c r="E42" s="3">
        <f t="shared" si="0"/>
        <v>-1.8044089999999999</v>
      </c>
    </row>
    <row r="43" spans="1:5" x14ac:dyDescent="0.2">
      <c r="A43" t="s">
        <v>4</v>
      </c>
      <c r="B43" s="4"/>
      <c r="C43" s="3">
        <v>0</v>
      </c>
      <c r="D43" s="3">
        <f>($B$40/100000)*9.2</f>
        <v>0.68898799999999993</v>
      </c>
      <c r="E43" s="3">
        <f t="shared" si="0"/>
        <v>-0.68898799999999993</v>
      </c>
    </row>
    <row r="44" spans="1:5" x14ac:dyDescent="0.2">
      <c r="A44" t="s">
        <v>5</v>
      </c>
      <c r="B44" s="4"/>
      <c r="C44" s="3">
        <v>0</v>
      </c>
      <c r="D44" s="3">
        <f>($B$40/100000)*10.7</f>
        <v>0.8013229999999999</v>
      </c>
      <c r="E44" s="3">
        <f t="shared" si="0"/>
        <v>-0.8013229999999999</v>
      </c>
    </row>
    <row r="45" spans="1:5" x14ac:dyDescent="0.2">
      <c r="B45" s="4"/>
      <c r="C45" s="3"/>
      <c r="D45" s="3"/>
    </row>
    <row r="46" spans="1:5" x14ac:dyDescent="0.2">
      <c r="A46" s="1" t="s">
        <v>15</v>
      </c>
      <c r="B46" s="5">
        <v>26090</v>
      </c>
      <c r="C46" s="3">
        <f>SUM(C47:C50)</f>
        <v>13.700000000000001</v>
      </c>
      <c r="D46" s="3">
        <f>SUM(D47:D50)</f>
        <v>21.002450000000003</v>
      </c>
      <c r="E46" s="6">
        <f>SUM(C46-D46)</f>
        <v>-7.3024500000000021</v>
      </c>
    </row>
    <row r="47" spans="1:5" x14ac:dyDescent="0.2">
      <c r="A47" t="s">
        <v>2</v>
      </c>
      <c r="B47" s="4"/>
      <c r="C47" s="3">
        <v>11.4</v>
      </c>
      <c r="D47" s="3">
        <f>($B$46/100000)*32.5</f>
        <v>8.4792500000000004</v>
      </c>
      <c r="E47" s="3">
        <f t="shared" si="0"/>
        <v>2.92075</v>
      </c>
    </row>
    <row r="48" spans="1:5" x14ac:dyDescent="0.2">
      <c r="A48" t="s">
        <v>3</v>
      </c>
      <c r="B48" s="4"/>
      <c r="C48" s="3">
        <v>0.4</v>
      </c>
      <c r="D48" s="3">
        <f>($B$46/100000)*28.1</f>
        <v>7.331290000000001</v>
      </c>
      <c r="E48" s="3">
        <f t="shared" si="0"/>
        <v>-6.9312900000000006</v>
      </c>
    </row>
    <row r="49" spans="1:5" x14ac:dyDescent="0.2">
      <c r="A49" t="s">
        <v>4</v>
      </c>
      <c r="B49" s="4"/>
      <c r="C49" s="3">
        <v>1.1000000000000001</v>
      </c>
      <c r="D49" s="3">
        <f>($B$46/100000)*9.2</f>
        <v>2.40028</v>
      </c>
      <c r="E49" s="3">
        <f t="shared" si="0"/>
        <v>-1.3002799999999999</v>
      </c>
    </row>
    <row r="50" spans="1:5" x14ac:dyDescent="0.2">
      <c r="A50" t="s">
        <v>5</v>
      </c>
      <c r="B50" s="4"/>
      <c r="C50" s="3">
        <v>0.8</v>
      </c>
      <c r="D50" s="3">
        <f>($B$46/100000)*10.7</f>
        <v>2.7916300000000001</v>
      </c>
      <c r="E50" s="3">
        <f t="shared" si="0"/>
        <v>-1.99163</v>
      </c>
    </row>
    <row r="51" spans="1:5" x14ac:dyDescent="0.2">
      <c r="B51" s="4"/>
      <c r="C51" s="3"/>
      <c r="D51" s="3"/>
    </row>
    <row r="52" spans="1:5" x14ac:dyDescent="0.2">
      <c r="A52" s="1" t="s">
        <v>16</v>
      </c>
      <c r="B52" s="5">
        <v>29846</v>
      </c>
      <c r="C52" s="3">
        <f>SUM(C53:C56)</f>
        <v>15.3</v>
      </c>
      <c r="D52" s="3">
        <f>SUM(D53:D56)</f>
        <v>24.026029999999999</v>
      </c>
      <c r="E52" s="6">
        <f>SUM(C52-D52)</f>
        <v>-8.726029999999998</v>
      </c>
    </row>
    <row r="53" spans="1:5" x14ac:dyDescent="0.2">
      <c r="A53" t="s">
        <v>2</v>
      </c>
      <c r="B53" s="4"/>
      <c r="C53" s="3">
        <v>7.2</v>
      </c>
      <c r="D53" s="3">
        <f>($B$52/100000)*32.5</f>
        <v>9.6999499999999994</v>
      </c>
      <c r="E53" s="3">
        <f t="shared" si="0"/>
        <v>-2.4999499999999992</v>
      </c>
    </row>
    <row r="54" spans="1:5" x14ac:dyDescent="0.2">
      <c r="A54" t="s">
        <v>3</v>
      </c>
      <c r="B54" s="4"/>
      <c r="C54" s="3">
        <v>3.2</v>
      </c>
      <c r="D54" s="3">
        <f>($B$52/100000)*28.1</f>
        <v>8.3867260000000012</v>
      </c>
      <c r="E54" s="3">
        <f t="shared" si="0"/>
        <v>-5.1867260000000011</v>
      </c>
    </row>
    <row r="55" spans="1:5" x14ac:dyDescent="0.2">
      <c r="A55" t="s">
        <v>4</v>
      </c>
      <c r="B55" s="4"/>
      <c r="C55" s="3">
        <v>0.8</v>
      </c>
      <c r="D55" s="3">
        <f>($B$52/100000)*9.2</f>
        <v>2.7458319999999996</v>
      </c>
      <c r="E55" s="3">
        <f t="shared" si="0"/>
        <v>-1.9458319999999996</v>
      </c>
    </row>
    <row r="56" spans="1:5" x14ac:dyDescent="0.2">
      <c r="A56" t="s">
        <v>5</v>
      </c>
      <c r="B56" s="4"/>
      <c r="C56" s="3">
        <v>4.0999999999999996</v>
      </c>
      <c r="D56" s="3">
        <f>($B$52/100000)*10.7</f>
        <v>3.1935219999999997</v>
      </c>
      <c r="E56" s="3">
        <f t="shared" si="0"/>
        <v>0.90647799999999989</v>
      </c>
    </row>
    <row r="57" spans="1:5" x14ac:dyDescent="0.2">
      <c r="B57" s="4"/>
      <c r="C57" s="3"/>
      <c r="D57" s="3"/>
    </row>
    <row r="58" spans="1:5" x14ac:dyDescent="0.2">
      <c r="A58" s="1" t="s">
        <v>17</v>
      </c>
      <c r="B58" s="5">
        <v>27666</v>
      </c>
      <c r="C58" s="3">
        <f>SUM(C59:C62)</f>
        <v>14.500000000000002</v>
      </c>
      <c r="D58" s="3">
        <f>SUM(D59:D62)</f>
        <v>22.271130000000003</v>
      </c>
      <c r="E58" s="6">
        <f>SUM(C58-D58)</f>
        <v>-7.7711300000000012</v>
      </c>
    </row>
    <row r="59" spans="1:5" x14ac:dyDescent="0.2">
      <c r="A59" t="s">
        <v>2</v>
      </c>
      <c r="B59" s="4"/>
      <c r="C59" s="3">
        <v>5.5</v>
      </c>
      <c r="D59" s="3">
        <f>($B$58/100000)*32.5</f>
        <v>8.9914500000000004</v>
      </c>
      <c r="E59" s="3">
        <f t="shared" si="0"/>
        <v>-3.4914500000000004</v>
      </c>
    </row>
    <row r="60" spans="1:5" x14ac:dyDescent="0.2">
      <c r="A60" t="s">
        <v>3</v>
      </c>
      <c r="B60" s="4"/>
      <c r="C60" s="3">
        <v>3.3</v>
      </c>
      <c r="D60" s="3">
        <f>($B$58/100000)*28.1</f>
        <v>7.7741460000000009</v>
      </c>
      <c r="E60" s="3">
        <f t="shared" si="0"/>
        <v>-4.4741460000000011</v>
      </c>
    </row>
    <row r="61" spans="1:5" x14ac:dyDescent="0.2">
      <c r="A61" t="s">
        <v>4</v>
      </c>
      <c r="B61" s="4"/>
      <c r="C61" s="3">
        <v>2.8</v>
      </c>
      <c r="D61" s="3">
        <f>($B$58/100000)*9.2</f>
        <v>2.5452719999999998</v>
      </c>
      <c r="E61" s="3">
        <f t="shared" si="0"/>
        <v>0.25472800000000007</v>
      </c>
    </row>
    <row r="62" spans="1:5" x14ac:dyDescent="0.2">
      <c r="A62" t="s">
        <v>5</v>
      </c>
      <c r="B62" s="4"/>
      <c r="C62" s="3">
        <v>2.9</v>
      </c>
      <c r="D62" s="3">
        <f>($B$58/100000)*10.7</f>
        <v>2.9602620000000002</v>
      </c>
      <c r="E62" s="3">
        <f t="shared" si="0"/>
        <v>-6.026200000000026E-2</v>
      </c>
    </row>
    <row r="63" spans="1:5" x14ac:dyDescent="0.2">
      <c r="B63" s="4"/>
      <c r="C63" s="3"/>
      <c r="D63" s="3"/>
    </row>
    <row r="64" spans="1:5" x14ac:dyDescent="0.2">
      <c r="A64" s="1" t="s">
        <v>18</v>
      </c>
      <c r="B64" s="5">
        <v>60366</v>
      </c>
      <c r="C64" s="3">
        <f>SUM(C65:C68)</f>
        <v>29.599999999999998</v>
      </c>
      <c r="D64" s="3">
        <f>SUM(D65:D68)</f>
        <v>48.594629999999995</v>
      </c>
      <c r="E64" s="6">
        <f>SUM(C64-D64)</f>
        <v>-18.994629999999997</v>
      </c>
    </row>
    <row r="65" spans="1:5" x14ac:dyDescent="0.2">
      <c r="A65" t="s">
        <v>2</v>
      </c>
      <c r="B65" s="4"/>
      <c r="C65" s="3">
        <v>14.7</v>
      </c>
      <c r="D65" s="3">
        <f>($B$64/100000)*32.5</f>
        <v>19.618949999999998</v>
      </c>
      <c r="E65" s="3">
        <f t="shared" si="0"/>
        <v>-4.9189499999999988</v>
      </c>
    </row>
    <row r="66" spans="1:5" x14ac:dyDescent="0.2">
      <c r="A66" t="s">
        <v>3</v>
      </c>
      <c r="B66" s="4"/>
      <c r="C66" s="3">
        <v>6.6</v>
      </c>
      <c r="D66" s="3">
        <f>($B$64/100000)*28.1</f>
        <v>16.962845999999999</v>
      </c>
      <c r="E66" s="3">
        <f t="shared" si="0"/>
        <v>-10.362845999999999</v>
      </c>
    </row>
    <row r="67" spans="1:5" x14ac:dyDescent="0.2">
      <c r="A67" t="s">
        <v>4</v>
      </c>
      <c r="B67" s="4"/>
      <c r="C67" s="3">
        <v>4.3</v>
      </c>
      <c r="D67" s="3">
        <f>($B$64/100000)*9.2</f>
        <v>5.5536719999999997</v>
      </c>
      <c r="E67" s="3">
        <f t="shared" si="0"/>
        <v>-1.2536719999999999</v>
      </c>
    </row>
    <row r="68" spans="1:5" x14ac:dyDescent="0.2">
      <c r="A68" t="s">
        <v>5</v>
      </c>
      <c r="B68" s="4"/>
      <c r="C68" s="3">
        <v>4</v>
      </c>
      <c r="D68" s="3">
        <f>($B$64/100000)*10.7</f>
        <v>6.4591619999999992</v>
      </c>
      <c r="E68" s="3">
        <f t="shared" si="0"/>
        <v>-2.4591619999999992</v>
      </c>
    </row>
    <row r="69" spans="1:5" x14ac:dyDescent="0.2">
      <c r="B69" s="4"/>
      <c r="C69" s="3"/>
      <c r="D69" s="3"/>
    </row>
    <row r="70" spans="1:5" x14ac:dyDescent="0.2">
      <c r="A70" s="1" t="s">
        <v>19</v>
      </c>
      <c r="B70" s="5">
        <v>60048</v>
      </c>
      <c r="C70" s="3">
        <f>SUM(C71:C74)</f>
        <v>34.700000000000003</v>
      </c>
      <c r="D70" s="3">
        <f>SUM(D71:D74)</f>
        <v>48.338640000000005</v>
      </c>
      <c r="E70" s="6">
        <f>SUM(C70-D70)</f>
        <v>-13.638640000000002</v>
      </c>
    </row>
    <row r="71" spans="1:5" x14ac:dyDescent="0.2">
      <c r="A71" t="s">
        <v>2</v>
      </c>
      <c r="B71" s="4"/>
      <c r="C71" s="3">
        <v>20.5</v>
      </c>
      <c r="D71" s="3">
        <f>($B$70/100000)*32.5</f>
        <v>19.515599999999999</v>
      </c>
      <c r="E71" s="3">
        <f t="shared" si="0"/>
        <v>0.98440000000000083</v>
      </c>
    </row>
    <row r="72" spans="1:5" x14ac:dyDescent="0.2">
      <c r="A72" t="s">
        <v>3</v>
      </c>
      <c r="B72" s="4"/>
      <c r="C72" s="3">
        <v>5.8</v>
      </c>
      <c r="D72" s="3">
        <f>($B$70/100000)*28.1</f>
        <v>16.873488000000002</v>
      </c>
      <c r="E72" s="3">
        <f t="shared" si="0"/>
        <v>-11.073488000000001</v>
      </c>
    </row>
    <row r="73" spans="1:5" x14ac:dyDescent="0.2">
      <c r="A73" t="s">
        <v>4</v>
      </c>
      <c r="B73" s="4"/>
      <c r="C73" s="3">
        <v>3.8</v>
      </c>
      <c r="D73" s="3">
        <f>($B$70/100000)*9.2</f>
        <v>5.5244159999999995</v>
      </c>
      <c r="E73" s="3">
        <f t="shared" si="0"/>
        <v>-1.7244159999999997</v>
      </c>
    </row>
    <row r="74" spans="1:5" x14ac:dyDescent="0.2">
      <c r="A74" t="s">
        <v>5</v>
      </c>
      <c r="B74" s="4"/>
      <c r="C74" s="3">
        <v>4.5999999999999996</v>
      </c>
      <c r="D74" s="3">
        <f>($B$70/100000)*10.7</f>
        <v>6.4251359999999993</v>
      </c>
      <c r="E74" s="3">
        <f t="shared" si="0"/>
        <v>-1.8251359999999996</v>
      </c>
    </row>
    <row r="75" spans="1:5" x14ac:dyDescent="0.2">
      <c r="B75" s="4"/>
      <c r="C75" s="3"/>
      <c r="D75" s="3"/>
    </row>
    <row r="76" spans="1:5" x14ac:dyDescent="0.2">
      <c r="A76" s="1" t="s">
        <v>20</v>
      </c>
      <c r="B76" s="5">
        <v>45842</v>
      </c>
      <c r="C76" s="3">
        <f>SUM(C77:C80)</f>
        <v>28.900000000000002</v>
      </c>
      <c r="D76" s="3">
        <f>SUM(D77:D80)</f>
        <v>36.902810000000002</v>
      </c>
      <c r="E76" s="6">
        <f>SUM(C76-D76)</f>
        <v>-8.0028100000000002</v>
      </c>
    </row>
    <row r="77" spans="1:5" x14ac:dyDescent="0.2">
      <c r="A77" t="s">
        <v>2</v>
      </c>
      <c r="B77" s="4"/>
      <c r="C77" s="3">
        <v>17.5</v>
      </c>
      <c r="D77" s="3">
        <f>($B$76/100000)*32.5</f>
        <v>14.89865</v>
      </c>
      <c r="E77" s="3">
        <f t="shared" si="0"/>
        <v>2.6013500000000001</v>
      </c>
    </row>
    <row r="78" spans="1:5" x14ac:dyDescent="0.2">
      <c r="A78" t="s">
        <v>3</v>
      </c>
      <c r="B78" s="4"/>
      <c r="C78" s="3">
        <v>4.3</v>
      </c>
      <c r="D78" s="3">
        <f>($B$76/100000)*28.1</f>
        <v>12.881602000000001</v>
      </c>
      <c r="E78" s="3">
        <f t="shared" si="0"/>
        <v>-8.5816020000000002</v>
      </c>
    </row>
    <row r="79" spans="1:5" x14ac:dyDescent="0.2">
      <c r="A79" t="s">
        <v>4</v>
      </c>
      <c r="B79" s="4"/>
      <c r="C79" s="3">
        <v>3.6</v>
      </c>
      <c r="D79" s="3">
        <f>($B$76/100000)*9.2</f>
        <v>4.2174639999999997</v>
      </c>
      <c r="E79" s="3">
        <f t="shared" si="0"/>
        <v>-0.61746399999999957</v>
      </c>
    </row>
    <row r="80" spans="1:5" x14ac:dyDescent="0.2">
      <c r="A80" t="s">
        <v>5</v>
      </c>
      <c r="B80" s="4"/>
      <c r="C80" s="3">
        <v>3.5</v>
      </c>
      <c r="D80" s="3">
        <f>($B$76/100000)*10.7</f>
        <v>4.9050939999999992</v>
      </c>
      <c r="E80" s="3">
        <f t="shared" si="0"/>
        <v>-1.4050939999999992</v>
      </c>
    </row>
    <row r="81" spans="1:8" x14ac:dyDescent="0.2">
      <c r="B81" s="4"/>
      <c r="C81" s="3"/>
      <c r="D81" s="3"/>
    </row>
    <row r="82" spans="1:8" x14ac:dyDescent="0.2">
      <c r="A82" s="1" t="s">
        <v>21</v>
      </c>
      <c r="B82" s="5">
        <v>58142</v>
      </c>
      <c r="C82" s="3">
        <f>SUM(C83:C86)</f>
        <v>28.6</v>
      </c>
      <c r="D82" s="3">
        <f>SUM(D83:D86)</f>
        <v>46.804310000000001</v>
      </c>
      <c r="E82" s="6">
        <f>SUM(C82-D82)</f>
        <v>-18.20431</v>
      </c>
    </row>
    <row r="83" spans="1:8" x14ac:dyDescent="0.2">
      <c r="A83" t="s">
        <v>2</v>
      </c>
      <c r="C83" s="3">
        <v>9.6</v>
      </c>
      <c r="D83" s="3">
        <f>($B$82/100000)*32.5</f>
        <v>18.896150000000002</v>
      </c>
      <c r="E83" s="3">
        <f t="shared" ref="E83:E86" si="1">C83-D83</f>
        <v>-9.2961500000000026</v>
      </c>
    </row>
    <row r="84" spans="1:8" x14ac:dyDescent="0.2">
      <c r="A84" t="s">
        <v>3</v>
      </c>
      <c r="C84" s="3">
        <v>12.4</v>
      </c>
      <c r="D84" s="3">
        <f>($B$82/100000)*28.1</f>
        <v>16.337902000000003</v>
      </c>
      <c r="E84" s="3">
        <f t="shared" si="1"/>
        <v>-3.9379020000000029</v>
      </c>
    </row>
    <row r="85" spans="1:8" x14ac:dyDescent="0.2">
      <c r="A85" t="s">
        <v>4</v>
      </c>
      <c r="C85" s="3">
        <v>1</v>
      </c>
      <c r="D85" s="3">
        <f>($B$82/100000)*9.2</f>
        <v>5.3490640000000003</v>
      </c>
      <c r="E85" s="3">
        <f t="shared" si="1"/>
        <v>-4.3490640000000003</v>
      </c>
    </row>
    <row r="86" spans="1:8" x14ac:dyDescent="0.2">
      <c r="A86" t="s">
        <v>5</v>
      </c>
      <c r="C86" s="3">
        <v>5.6</v>
      </c>
      <c r="D86" s="3">
        <f>($B$82/100000)*10.7</f>
        <v>6.2211939999999997</v>
      </c>
      <c r="E86" s="3">
        <f t="shared" si="1"/>
        <v>-0.62119400000000002</v>
      </c>
      <c r="H86" s="3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b7186-ef1d-4a9c-8d88-be1b00986b10">
      <Terms xmlns="http://schemas.microsoft.com/office/infopath/2007/PartnerControls"/>
    </lcf76f155ced4ddcb4097134ff3c332f>
    <TaxCatchAll xmlns="265bbace-45a2-4d8e-84ab-5e210b44f7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86DFF35F2A34E9F3847BA741A4EC9" ma:contentTypeVersion="15" ma:contentTypeDescription="Create a new document." ma:contentTypeScope="" ma:versionID="be318afe34fd332b74b249315b7cd972">
  <xsd:schema xmlns:xsd="http://www.w3.org/2001/XMLSchema" xmlns:xs="http://www.w3.org/2001/XMLSchema" xmlns:p="http://schemas.microsoft.com/office/2006/metadata/properties" xmlns:ns2="265bbace-45a2-4d8e-84ab-5e210b44f7c3" xmlns:ns3="170b7186-ef1d-4a9c-8d88-be1b00986b10" targetNamespace="http://schemas.microsoft.com/office/2006/metadata/properties" ma:root="true" ma:fieldsID="68318d58ce3611002b785e576ebebdee" ns2:_="" ns3:_="">
    <xsd:import namespace="265bbace-45a2-4d8e-84ab-5e210b44f7c3"/>
    <xsd:import namespace="170b7186-ef1d-4a9c-8d88-be1b00986b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bbace-45a2-4d8e-84ab-5e210b44f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706000-7454-4b83-82d9-50215fb2b4cc}" ma:internalName="TaxCatchAll" ma:showField="CatchAllData" ma:web="265bbace-45a2-4d8e-84ab-5e210b44f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b7186-ef1d-4a9c-8d88-be1b00986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707bf4-8b60-496f-bf79-f8c99999f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DE8D1-C3B7-4E90-AE80-478E7B103259}">
  <ds:schemaRefs>
    <ds:schemaRef ds:uri="http://schemas.microsoft.com/office/2006/metadata/properties"/>
    <ds:schemaRef ds:uri="http://schemas.microsoft.com/office/infopath/2007/PartnerControls"/>
    <ds:schemaRef ds:uri="170b7186-ef1d-4a9c-8d88-be1b00986b10"/>
    <ds:schemaRef ds:uri="265bbace-45a2-4d8e-84ab-5e210b44f7c3"/>
  </ds:schemaRefs>
</ds:datastoreItem>
</file>

<file path=customXml/itemProps2.xml><?xml version="1.0" encoding="utf-8"?>
<ds:datastoreItem xmlns:ds="http://schemas.openxmlformats.org/officeDocument/2006/customXml" ds:itemID="{0A5F38C7-68E3-40B2-8F5A-DF318BB8E9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A95C3-F065-4C7D-BAD9-0B7539991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5bbace-45a2-4d8e-84ab-5e210b44f7c3"/>
    <ds:schemaRef ds:uri="170b7186-ef1d-4a9c-8d88-be1b00986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Birdie Pauley</dc:creator>
  <cp:lastModifiedBy>Jill Sudhoff-Guerin</cp:lastModifiedBy>
  <dcterms:created xsi:type="dcterms:W3CDTF">2024-10-02T13:03:35Z</dcterms:created>
  <dcterms:modified xsi:type="dcterms:W3CDTF">2024-12-01T16:52:11Z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0x0101003F086DFF35F2A34E9F3847BA741A4EC9</vt:lpwstr>
  </property>
</Properties>
</file>